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d\Documents\1. Work\15. Write Ups\38A. LIAM PHYLOGENOMICS PAPER\1. DRAFT PAPER 22-Feb-21\1. phylogenomics MS 01-June-2021\1. Newly ordered Supplemental Tables\"/>
    </mc:Choice>
  </mc:AlternateContent>
  <xr:revisionPtr revIDLastSave="0" documentId="13_ncr:1_{7FD3743F-29CE-4066-A3FE-E1E02A95CAAD}" xr6:coauthVersionLast="47" xr6:coauthVersionMax="47" xr10:uidLastSave="{00000000-0000-0000-0000-000000000000}"/>
  <bookViews>
    <workbookView minimized="1" xWindow="1125" yWindow="1125" windowWidth="21600" windowHeight="11265" xr2:uid="{00000000-000D-0000-FFFF-FFFF00000000}"/>
  </bookViews>
  <sheets>
    <sheet name="Sheet1" sheetId="1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8" i="1" l="1"/>
  <c r="J18" i="1"/>
  <c r="K25" i="1"/>
  <c r="J25" i="1"/>
  <c r="K24" i="1"/>
  <c r="J24" i="1"/>
  <c r="K23" i="1"/>
  <c r="J23" i="1"/>
  <c r="K22" i="1"/>
  <c r="J22" i="1"/>
  <c r="H17" i="1"/>
  <c r="K17" i="1"/>
  <c r="J17" i="1"/>
  <c r="I17" i="1"/>
  <c r="H16" i="1"/>
  <c r="K16" i="1"/>
  <c r="J16" i="1"/>
  <c r="I16" i="1"/>
  <c r="H15" i="1"/>
  <c r="K15" i="1"/>
  <c r="J15" i="1"/>
  <c r="I15" i="1"/>
  <c r="H14" i="1"/>
  <c r="K14" i="1"/>
  <c r="J14" i="1"/>
  <c r="I14" i="1"/>
  <c r="H13" i="1"/>
  <c r="K13" i="1"/>
  <c r="J13" i="1"/>
  <c r="I13" i="1"/>
  <c r="H12" i="1"/>
  <c r="K12" i="1"/>
  <c r="J12" i="1"/>
  <c r="I12" i="1"/>
  <c r="H11" i="1"/>
  <c r="K11" i="1"/>
  <c r="J11" i="1"/>
  <c r="I11" i="1"/>
  <c r="H10" i="1"/>
  <c r="K10" i="1"/>
  <c r="J10" i="1"/>
  <c r="I10" i="1"/>
  <c r="H9" i="1"/>
  <c r="K9" i="1"/>
  <c r="J9" i="1"/>
  <c r="I9" i="1"/>
  <c r="H8" i="1"/>
  <c r="K8" i="1"/>
  <c r="J8" i="1"/>
  <c r="I8" i="1"/>
  <c r="H7" i="1"/>
  <c r="K7" i="1"/>
  <c r="J7" i="1"/>
  <c r="I7" i="1"/>
  <c r="H6" i="1"/>
  <c r="K6" i="1"/>
  <c r="J6" i="1"/>
  <c r="I6" i="1"/>
  <c r="H5" i="1"/>
  <c r="K5" i="1"/>
  <c r="J5" i="1"/>
  <c r="I5" i="1"/>
  <c r="H4" i="1"/>
  <c r="K4" i="1"/>
  <c r="J4" i="1"/>
  <c r="I4" i="1"/>
</calcChain>
</file>

<file path=xl/sharedStrings.xml><?xml version="1.0" encoding="utf-8"?>
<sst xmlns="http://schemas.openxmlformats.org/spreadsheetml/2006/main" count="74" uniqueCount="40">
  <si>
    <t>Raw Reads</t>
  </si>
  <si>
    <t>Trimmed Reads (TrimGalore, Round 1) - ChHV5</t>
  </si>
  <si>
    <t>Trimmed Reads (Trimmomatic) - ChHV5</t>
  </si>
  <si>
    <t>Trimmed Reads (TrimGalore, Round 2) - turtle</t>
  </si>
  <si>
    <t>ChHV5 aligned reads</t>
  </si>
  <si>
    <t>Alignment Rate</t>
  </si>
  <si>
    <t>27L1Fdna</t>
  </si>
  <si>
    <t>flSCEYFdna</t>
  </si>
  <si>
    <t>flSCINFdna</t>
  </si>
  <si>
    <t>LKFLMCKFdna</t>
  </si>
  <si>
    <t>LkNEFdna</t>
  </si>
  <si>
    <t>LoTXFdna</t>
  </si>
  <si>
    <t>poSCTFdna</t>
  </si>
  <si>
    <t>yuLIRSFdna</t>
  </si>
  <si>
    <t>yuRERFdna</t>
  </si>
  <si>
    <t>yuRIRSFdna</t>
  </si>
  <si>
    <t>yuRKTGFdna</t>
  </si>
  <si>
    <t>yuRKTMFdna</t>
  </si>
  <si>
    <t>yuRKTW1Fdna</t>
  </si>
  <si>
    <t>yuTSFdna</t>
  </si>
  <si>
    <t>TABT-Cm</t>
  </si>
  <si>
    <t>LiRRF4dna</t>
  </si>
  <si>
    <t>Sample ID</t>
  </si>
  <si>
    <t>NovaSeq 6000</t>
  </si>
  <si>
    <t>HiSeq 3000</t>
  </si>
  <si>
    <t>20170226AFA (virally enriched)</t>
  </si>
  <si>
    <t>LLE-419 (virally enriched)</t>
  </si>
  <si>
    <t>NMFS14_313 (virally enriched)</t>
  </si>
  <si>
    <t>MCK2015011701 (virally enriched)</t>
  </si>
  <si>
    <t>Host species</t>
  </si>
  <si>
    <t>C. mydas</t>
  </si>
  <si>
    <t>L. olivacea</t>
  </si>
  <si>
    <t>L. kempii</t>
  </si>
  <si>
    <t>RPTM (ChHV5)</t>
  </si>
  <si>
    <t>Genome Coverage (x)</t>
  </si>
  <si>
    <t>Sex</t>
  </si>
  <si>
    <t>male</t>
  </si>
  <si>
    <t>undetermined</t>
  </si>
  <si>
    <t>female</t>
  </si>
  <si>
    <r>
      <rPr>
        <b/>
        <sz val="11"/>
        <color theme="1"/>
        <rFont val="Calibri"/>
        <family val="2"/>
        <scheme val="minor"/>
      </rPr>
      <t>Supplemental Table 1.</t>
    </r>
    <r>
      <rPr>
        <sz val="11"/>
        <color theme="1"/>
        <rFont val="Calibri"/>
        <family val="2"/>
        <scheme val="minor"/>
      </rPr>
      <t xml:space="preserve"> Read, alignment and ChHV5 genome coverage information for all twenty samples used in this study.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</si>
</sst>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%"/>
    <numFmt numFmtId="165" formatCode="0.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Unicode MS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sz val="12"/>
      <name val="Calibri"/>
      <family val="2"/>
      <scheme val="minor"/>
    </font>
    <font>
      <b/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5" fillId="0" borderId="0" xfId="0" applyFon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3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workbookViewId="0">
      <selection activeCell="B3" sqref="B3"/>
    </sheetView>
  </sheetViews>
  <sheetFormatPr defaultColWidth="8.85546875" defaultRowHeight="15"/>
  <cols>
    <col min="1" max="1" width="21.7109375" bestFit="1" customWidth="1"/>
    <col min="2" max="2" width="21.7109375" customWidth="1"/>
    <col min="3" max="3" width="14" style="28" bestFit="1" customWidth="1"/>
    <col min="4" max="4" width="16.140625" customWidth="1"/>
    <col min="5" max="5" width="43.28515625" bestFit="1" customWidth="1"/>
    <col min="6" max="6" width="36.42578125" bestFit="1" customWidth="1"/>
    <col min="7" max="7" width="42.42578125" bestFit="1" customWidth="1"/>
    <col min="8" max="8" width="19.42578125" bestFit="1" customWidth="1"/>
    <col min="9" max="9" width="14.85546875" bestFit="1" customWidth="1"/>
    <col min="10" max="10" width="16" bestFit="1" customWidth="1"/>
    <col min="11" max="11" width="17.7109375" bestFit="1" customWidth="1"/>
  </cols>
  <sheetData>
    <row r="1" spans="1:11">
      <c r="A1" s="2" t="s">
        <v>39</v>
      </c>
      <c r="B1" s="1"/>
      <c r="C1" s="22"/>
      <c r="D1" s="1"/>
      <c r="E1" s="1"/>
      <c r="F1" s="1"/>
      <c r="G1" s="1"/>
      <c r="H1" s="1"/>
      <c r="I1" s="1"/>
    </row>
    <row r="2" spans="1:11">
      <c r="A2" s="3" t="s">
        <v>22</v>
      </c>
      <c r="B2" s="7" t="s">
        <v>29</v>
      </c>
      <c r="C2" s="23" t="s">
        <v>35</v>
      </c>
      <c r="D2" s="7" t="s">
        <v>0</v>
      </c>
      <c r="E2" s="7" t="s">
        <v>1</v>
      </c>
      <c r="F2" s="7" t="s">
        <v>2</v>
      </c>
      <c r="G2" s="7" t="s">
        <v>3</v>
      </c>
      <c r="H2" s="7" t="s">
        <v>4</v>
      </c>
      <c r="I2" s="8" t="s">
        <v>5</v>
      </c>
      <c r="J2" s="7" t="s">
        <v>33</v>
      </c>
      <c r="K2" s="7" t="s">
        <v>34</v>
      </c>
    </row>
    <row r="3" spans="1:11">
      <c r="A3" s="4" t="s">
        <v>23</v>
      </c>
      <c r="B3" s="9"/>
      <c r="C3" s="24"/>
      <c r="D3" s="10"/>
      <c r="E3" s="10"/>
      <c r="F3" s="10"/>
      <c r="G3" s="10"/>
      <c r="H3" s="10"/>
      <c r="I3" s="10"/>
      <c r="J3" s="10"/>
      <c r="K3" s="10"/>
    </row>
    <row r="4" spans="1:11">
      <c r="A4" s="5" t="s">
        <v>6</v>
      </c>
      <c r="B4" s="11" t="s">
        <v>30</v>
      </c>
      <c r="C4" s="21" t="s">
        <v>36</v>
      </c>
      <c r="D4" s="10">
        <v>688363268</v>
      </c>
      <c r="E4" s="10">
        <v>672676274</v>
      </c>
      <c r="F4" s="10">
        <v>670622567</v>
      </c>
      <c r="G4" s="12"/>
      <c r="H4" s="10">
        <f>213223+18874+15842+(7826/2)+(11681/2)</f>
        <v>257692.5</v>
      </c>
      <c r="I4" s="13">
        <f>H4/F4</f>
        <v>3.8425861681448605E-4</v>
      </c>
      <c r="J4" s="14">
        <f>(H4*10000000)/F4</f>
        <v>3842.5861681448605</v>
      </c>
      <c r="K4" s="14">
        <f t="shared" ref="K4:K17" si="0">H4*(300/132233)</f>
        <v>584.63280724176263</v>
      </c>
    </row>
    <row r="5" spans="1:11">
      <c r="A5" s="5" t="s">
        <v>7</v>
      </c>
      <c r="B5" s="11" t="s">
        <v>30</v>
      </c>
      <c r="C5" s="21" t="s">
        <v>37</v>
      </c>
      <c r="D5" s="10">
        <v>131017218</v>
      </c>
      <c r="E5" s="10">
        <v>128477924</v>
      </c>
      <c r="F5" s="10">
        <v>128061742</v>
      </c>
      <c r="G5" s="10">
        <v>127704899</v>
      </c>
      <c r="H5" s="10">
        <f>11185+755+911+(418/2)+(1134/2)</f>
        <v>13627</v>
      </c>
      <c r="I5" s="13">
        <f>H5/F5</f>
        <v>1.0640960982710981E-4</v>
      </c>
      <c r="J5" s="14">
        <f>(H5*10000000)/F5</f>
        <v>1064.0960982710981</v>
      </c>
      <c r="K5" s="14">
        <f t="shared" si="0"/>
        <v>30.915883327157367</v>
      </c>
    </row>
    <row r="6" spans="1:11">
      <c r="A6" s="5" t="s">
        <v>8</v>
      </c>
      <c r="B6" s="11" t="s">
        <v>30</v>
      </c>
      <c r="C6" s="21" t="s">
        <v>37</v>
      </c>
      <c r="D6" s="10">
        <v>152219555</v>
      </c>
      <c r="E6" s="10">
        <v>149724890</v>
      </c>
      <c r="F6" s="10">
        <v>149346685</v>
      </c>
      <c r="G6" s="10">
        <v>148954736</v>
      </c>
      <c r="H6" s="10">
        <f>37880+2785+2966+(1254/2)+(2027/2)</f>
        <v>45271.5</v>
      </c>
      <c r="I6" s="13">
        <f>H6/F6</f>
        <v>3.0313026365466362E-4</v>
      </c>
      <c r="J6" s="14">
        <f>(H6*10000000)/F6</f>
        <v>3031.3026365466362</v>
      </c>
      <c r="K6" s="14">
        <f t="shared" si="0"/>
        <v>102.70847670399976</v>
      </c>
    </row>
    <row r="7" spans="1:11" ht="15.75">
      <c r="A7" s="5" t="s">
        <v>9</v>
      </c>
      <c r="B7" s="15" t="s">
        <v>32</v>
      </c>
      <c r="C7" s="25" t="s">
        <v>38</v>
      </c>
      <c r="D7" s="10">
        <v>150483135</v>
      </c>
      <c r="E7" s="10">
        <v>147834189</v>
      </c>
      <c r="F7" s="10">
        <v>147493082</v>
      </c>
      <c r="G7" s="10">
        <v>147060810</v>
      </c>
      <c r="H7" s="10">
        <f>(12646+1060)+653+(345/2)+(117/2)</f>
        <v>14590</v>
      </c>
      <c r="I7" s="13">
        <f>H7/F7</f>
        <v>9.8919893747965751E-5</v>
      </c>
      <c r="J7" s="14">
        <f>(H7*10000000)/F7</f>
        <v>989.1989374796575</v>
      </c>
      <c r="K7" s="14">
        <f t="shared" si="0"/>
        <v>33.100663223249875</v>
      </c>
    </row>
    <row r="8" spans="1:11" ht="15.75">
      <c r="A8" s="5" t="s">
        <v>10</v>
      </c>
      <c r="B8" s="15" t="s">
        <v>32</v>
      </c>
      <c r="C8" s="25" t="s">
        <v>38</v>
      </c>
      <c r="D8" s="10">
        <v>111764136</v>
      </c>
      <c r="E8" s="10">
        <v>109910737</v>
      </c>
      <c r="F8" s="10">
        <v>109672464</v>
      </c>
      <c r="G8" s="10">
        <v>109390485</v>
      </c>
      <c r="H8" s="10">
        <f>7542+555+616+(257/2)+(588/2)</f>
        <v>9135.5</v>
      </c>
      <c r="I8" s="13">
        <f>H8/F8</f>
        <v>8.32980282087945E-5</v>
      </c>
      <c r="J8" s="14">
        <f>(H8*10000000)/F8</f>
        <v>832.98028208794506</v>
      </c>
      <c r="K8" s="14">
        <f t="shared" si="0"/>
        <v>20.725915618642851</v>
      </c>
    </row>
    <row r="9" spans="1:11">
      <c r="A9" s="5" t="s">
        <v>11</v>
      </c>
      <c r="B9" s="11" t="s">
        <v>31</v>
      </c>
      <c r="C9" s="26" t="s">
        <v>38</v>
      </c>
      <c r="D9" s="10">
        <v>159344473</v>
      </c>
      <c r="E9" s="10">
        <v>157593761</v>
      </c>
      <c r="F9" s="12"/>
      <c r="G9" s="10">
        <v>157305700</v>
      </c>
      <c r="H9" s="10">
        <f>2209+621+44+(47/2)+(241/2)</f>
        <v>3018</v>
      </c>
      <c r="I9" s="13">
        <f>H9/E9</f>
        <v>1.9150504314698093E-5</v>
      </c>
      <c r="J9" s="14">
        <f>(H9*10000000)/E9</f>
        <v>191.50504314698094</v>
      </c>
      <c r="K9" s="14">
        <f t="shared" si="0"/>
        <v>6.8470049080032975</v>
      </c>
    </row>
    <row r="10" spans="1:11">
      <c r="A10" s="5" t="s">
        <v>12</v>
      </c>
      <c r="B10" s="11" t="s">
        <v>30</v>
      </c>
      <c r="C10" s="21" t="s">
        <v>37</v>
      </c>
      <c r="D10" s="10">
        <v>151846661</v>
      </c>
      <c r="E10" s="10">
        <v>148660346</v>
      </c>
      <c r="F10" s="10">
        <v>148199973</v>
      </c>
      <c r="G10" s="10">
        <v>147783450</v>
      </c>
      <c r="H10" s="10">
        <f>15009+1060+1108+(527/2)+(1384/2)</f>
        <v>18132.5</v>
      </c>
      <c r="I10" s="13">
        <f t="shared" ref="I10:I13" si="1">H10/F10</f>
        <v>1.2235157424758775E-4</v>
      </c>
      <c r="J10" s="14">
        <f t="shared" ref="J10:J11" si="2">(H10*10000000)/F10</f>
        <v>1223.5157424758775</v>
      </c>
      <c r="K10" s="14">
        <f t="shared" si="0"/>
        <v>41.137613152541348</v>
      </c>
    </row>
    <row r="11" spans="1:11">
      <c r="A11" s="5" t="s">
        <v>13</v>
      </c>
      <c r="B11" s="11" t="s">
        <v>30</v>
      </c>
      <c r="C11" s="21" t="s">
        <v>38</v>
      </c>
      <c r="D11" s="10">
        <v>621366915</v>
      </c>
      <c r="E11" s="10">
        <v>607093896</v>
      </c>
      <c r="F11" s="10">
        <v>604803522</v>
      </c>
      <c r="G11" s="12"/>
      <c r="H11" s="10">
        <f>104713+8729+8972+(4084/2)+(7352/2)</f>
        <v>128132</v>
      </c>
      <c r="I11" s="13">
        <f t="shared" si="1"/>
        <v>2.1185723187637124E-4</v>
      </c>
      <c r="J11" s="14">
        <f t="shared" si="2"/>
        <v>2118.5723187637127</v>
      </c>
      <c r="K11" s="14">
        <f t="shared" si="0"/>
        <v>290.69596847988021</v>
      </c>
    </row>
    <row r="12" spans="1:11">
      <c r="A12" s="5" t="s">
        <v>14</v>
      </c>
      <c r="B12" s="11" t="s">
        <v>30</v>
      </c>
      <c r="C12" s="21" t="s">
        <v>38</v>
      </c>
      <c r="D12" s="10">
        <v>652756503</v>
      </c>
      <c r="E12" s="10">
        <v>639291588</v>
      </c>
      <c r="F12" s="10">
        <v>637161203</v>
      </c>
      <c r="G12" s="12"/>
      <c r="H12" s="10">
        <f>104323+8234+7779+(3788/2)+(7360/2)</f>
        <v>125910</v>
      </c>
      <c r="I12" s="13">
        <f t="shared" si="1"/>
        <v>1.9761090193057471E-4</v>
      </c>
      <c r="J12" s="14">
        <f>(H12*10000000)/F12</f>
        <v>1976.1090193057471</v>
      </c>
      <c r="K12" s="14">
        <f t="shared" si="0"/>
        <v>285.65486678816939</v>
      </c>
    </row>
    <row r="13" spans="1:11">
      <c r="A13" s="5" t="s">
        <v>15</v>
      </c>
      <c r="B13" s="11" t="s">
        <v>30</v>
      </c>
      <c r="C13" s="21" t="s">
        <v>38</v>
      </c>
      <c r="D13" s="10">
        <v>792686343</v>
      </c>
      <c r="E13" s="10">
        <v>779086042</v>
      </c>
      <c r="F13" s="10">
        <v>777185350</v>
      </c>
      <c r="G13" s="12"/>
      <c r="H13" s="10">
        <f>75831+6949+5315+(2539/2)+(7443/2)</f>
        <v>93086</v>
      </c>
      <c r="I13" s="13">
        <f t="shared" si="1"/>
        <v>1.1977323041408333E-4</v>
      </c>
      <c r="J13" s="14">
        <f t="shared" ref="J13:J17" si="3">(H13*10000000)/F13</f>
        <v>1197.7323041408333</v>
      </c>
      <c r="K13" s="14">
        <f t="shared" si="0"/>
        <v>211.18631506507455</v>
      </c>
    </row>
    <row r="14" spans="1:11">
      <c r="A14" s="5" t="s">
        <v>16</v>
      </c>
      <c r="B14" s="11" t="s">
        <v>30</v>
      </c>
      <c r="C14" s="21" t="s">
        <v>38</v>
      </c>
      <c r="D14" s="10">
        <v>725356042</v>
      </c>
      <c r="E14" s="10">
        <v>713293957</v>
      </c>
      <c r="F14" s="10">
        <v>711693678</v>
      </c>
      <c r="G14" s="12"/>
      <c r="H14" s="10">
        <f>126598+9858+9874+(4041/2)+(8288/2)</f>
        <v>152494.5</v>
      </c>
      <c r="I14" s="13">
        <f>H14/F14</f>
        <v>2.1426985332866761E-4</v>
      </c>
      <c r="J14" s="14">
        <f t="shared" si="3"/>
        <v>2142.6985332866761</v>
      </c>
      <c r="K14" s="14">
        <f t="shared" si="0"/>
        <v>345.9677236393336</v>
      </c>
    </row>
    <row r="15" spans="1:11">
      <c r="A15" s="5" t="s">
        <v>17</v>
      </c>
      <c r="B15" s="11" t="s">
        <v>30</v>
      </c>
      <c r="C15" s="21" t="s">
        <v>38</v>
      </c>
      <c r="D15" s="10">
        <v>706578319</v>
      </c>
      <c r="E15" s="10">
        <v>693695473</v>
      </c>
      <c r="F15" s="10">
        <v>691949993</v>
      </c>
      <c r="G15" s="12"/>
      <c r="H15" s="10">
        <f>180425+14713+13265+(5952/2)+(9914/2)</f>
        <v>216336</v>
      </c>
      <c r="I15" s="13">
        <f>H15/F15</f>
        <v>3.1264687071107461E-4</v>
      </c>
      <c r="J15" s="14">
        <f>(H15*10000000)/F15</f>
        <v>3126.4687071107464</v>
      </c>
      <c r="K15" s="14">
        <f t="shared" si="0"/>
        <v>490.80637964804555</v>
      </c>
    </row>
    <row r="16" spans="1:11">
      <c r="A16" s="5" t="s">
        <v>18</v>
      </c>
      <c r="B16" s="11" t="s">
        <v>30</v>
      </c>
      <c r="C16" s="21" t="s">
        <v>38</v>
      </c>
      <c r="D16" s="10">
        <v>630179761</v>
      </c>
      <c r="E16" s="10">
        <v>617850925</v>
      </c>
      <c r="F16" s="10">
        <v>615974703</v>
      </c>
      <c r="G16" s="12"/>
      <c r="H16" s="10">
        <f>53253+4062+4267+(1935/2)+(5806/2)</f>
        <v>65452.5</v>
      </c>
      <c r="I16" s="13">
        <f>H16/F16</f>
        <v>1.062584221092599E-4</v>
      </c>
      <c r="J16" s="14">
        <f t="shared" si="3"/>
        <v>1062.5842210925989</v>
      </c>
      <c r="K16" s="14">
        <f t="shared" si="0"/>
        <v>148.49356817133395</v>
      </c>
    </row>
    <row r="17" spans="1:11">
      <c r="A17" s="5" t="s">
        <v>19</v>
      </c>
      <c r="B17" s="11" t="s">
        <v>30</v>
      </c>
      <c r="C17" s="21" t="s">
        <v>38</v>
      </c>
      <c r="D17" s="10">
        <v>858685249</v>
      </c>
      <c r="E17" s="10">
        <v>843248185</v>
      </c>
      <c r="F17" s="10">
        <v>841151438</v>
      </c>
      <c r="G17" s="12"/>
      <c r="H17" s="10">
        <f>115721+8839+10425+(3923/2)+(8999/2)</f>
        <v>141446</v>
      </c>
      <c r="I17" s="13">
        <f>H17/F17</f>
        <v>1.6815759161788415E-4</v>
      </c>
      <c r="J17" s="14">
        <f t="shared" si="3"/>
        <v>1681.5759161788415</v>
      </c>
      <c r="K17" s="14">
        <f t="shared" si="0"/>
        <v>320.90174162274172</v>
      </c>
    </row>
    <row r="18" spans="1:11">
      <c r="A18" s="5" t="s">
        <v>20</v>
      </c>
      <c r="B18" s="11" t="s">
        <v>30</v>
      </c>
      <c r="C18" s="21" t="s">
        <v>36</v>
      </c>
      <c r="D18" s="10">
        <v>169446633</v>
      </c>
      <c r="E18" s="16">
        <v>169339286</v>
      </c>
      <c r="F18" s="17"/>
      <c r="G18" s="17"/>
      <c r="H18" s="10">
        <v>43562.5</v>
      </c>
      <c r="I18" s="18">
        <v>2.9999999999999997E-4</v>
      </c>
      <c r="J18" s="10">
        <f>(H18*10000000)/E18</f>
        <v>2572.4981502520332</v>
      </c>
      <c r="K18" s="14">
        <f>H18*(300/132233)</f>
        <v>98.831229723291472</v>
      </c>
    </row>
    <row r="19" spans="1:11">
      <c r="A19" s="5"/>
      <c r="B19" s="11"/>
      <c r="C19" s="21"/>
      <c r="D19" s="10"/>
      <c r="E19" s="10"/>
      <c r="F19" s="10"/>
      <c r="G19" s="10"/>
      <c r="H19" s="10"/>
      <c r="I19" s="10"/>
      <c r="J19" s="10"/>
      <c r="K19" s="10"/>
    </row>
    <row r="20" spans="1:11">
      <c r="A20" s="4" t="s">
        <v>24</v>
      </c>
      <c r="B20" s="9"/>
      <c r="C20" s="27"/>
      <c r="D20" s="10"/>
      <c r="E20" s="10"/>
      <c r="F20" s="10"/>
      <c r="G20" s="10"/>
      <c r="H20" s="10"/>
      <c r="I20" s="10"/>
      <c r="J20" s="10"/>
      <c r="K20" s="10"/>
    </row>
    <row r="21" spans="1:11">
      <c r="A21" s="5" t="s">
        <v>21</v>
      </c>
      <c r="B21" s="11" t="s">
        <v>30</v>
      </c>
      <c r="C21" s="21" t="s">
        <v>37</v>
      </c>
      <c r="D21" s="19">
        <v>427162904</v>
      </c>
      <c r="E21" s="19">
        <v>371533833</v>
      </c>
      <c r="F21" s="17"/>
      <c r="G21" s="17"/>
      <c r="H21" s="10">
        <v>38502.5</v>
      </c>
      <c r="I21" s="20">
        <v>1E-4</v>
      </c>
      <c r="J21" s="10">
        <v>1036.312081973972</v>
      </c>
      <c r="K21" s="10">
        <v>58.23</v>
      </c>
    </row>
    <row r="22" spans="1:11" ht="15.75">
      <c r="A22" s="6" t="s">
        <v>25</v>
      </c>
      <c r="B22" s="15" t="s">
        <v>32</v>
      </c>
      <c r="C22" s="25" t="s">
        <v>37</v>
      </c>
      <c r="D22" s="21">
        <v>34533962</v>
      </c>
      <c r="E22" s="10">
        <v>28898865</v>
      </c>
      <c r="F22" s="12"/>
      <c r="G22" s="12"/>
      <c r="H22" s="10">
        <v>4222944</v>
      </c>
      <c r="I22" s="18">
        <v>0.14610000000000001</v>
      </c>
      <c r="J22" s="10">
        <f>(H22*10000000)/E22</f>
        <v>1461283.6870929014</v>
      </c>
      <c r="K22" s="14">
        <f>H22*(300/132233)</f>
        <v>9580.6886329433655</v>
      </c>
    </row>
    <row r="23" spans="1:11" ht="15.75">
      <c r="A23" s="6" t="s">
        <v>26</v>
      </c>
      <c r="B23" s="15" t="s">
        <v>32</v>
      </c>
      <c r="C23" s="25" t="s">
        <v>38</v>
      </c>
      <c r="D23" s="21">
        <v>14641416</v>
      </c>
      <c r="E23" s="10">
        <v>13710744</v>
      </c>
      <c r="F23" s="12"/>
      <c r="G23" s="12"/>
      <c r="H23" s="10">
        <v>301155</v>
      </c>
      <c r="I23" s="18">
        <v>2.1999999999999999E-2</v>
      </c>
      <c r="J23" s="10">
        <f t="shared" ref="J23:J25" si="4">(H23*10000000)/E23</f>
        <v>219648.91183148048</v>
      </c>
      <c r="K23" s="14">
        <f>H23*(300/132233)</f>
        <v>683.23716470170086</v>
      </c>
    </row>
    <row r="24" spans="1:11" ht="15.75">
      <c r="A24" s="6" t="s">
        <v>27</v>
      </c>
      <c r="B24" s="15" t="s">
        <v>32</v>
      </c>
      <c r="C24" s="25" t="s">
        <v>38</v>
      </c>
      <c r="D24" s="21">
        <v>36964405</v>
      </c>
      <c r="E24" s="10">
        <v>30942555</v>
      </c>
      <c r="F24" s="12"/>
      <c r="G24" s="12"/>
      <c r="H24" s="10">
        <v>7180057</v>
      </c>
      <c r="I24" s="18">
        <v>0.23200000000000001</v>
      </c>
      <c r="J24" s="10">
        <f t="shared" si="4"/>
        <v>2320447.3580155228</v>
      </c>
      <c r="K24" s="14">
        <f>H24*(300/132233)</f>
        <v>16289.557825958726</v>
      </c>
    </row>
    <row r="25" spans="1:11" ht="15.75">
      <c r="A25" s="6" t="s">
        <v>28</v>
      </c>
      <c r="B25" s="15" t="s">
        <v>32</v>
      </c>
      <c r="C25" s="25" t="s">
        <v>38</v>
      </c>
      <c r="D25" s="21">
        <v>58980497</v>
      </c>
      <c r="E25" s="10">
        <v>49845450</v>
      </c>
      <c r="F25" s="12"/>
      <c r="G25" s="12"/>
      <c r="H25" s="10">
        <v>6527585</v>
      </c>
      <c r="I25" s="18">
        <v>0.13100000000000001</v>
      </c>
      <c r="J25" s="10">
        <f t="shared" si="4"/>
        <v>1309564.864997708</v>
      </c>
      <c r="K25" s="14">
        <f>H25*(300/132233)</f>
        <v>14809.279831812029</v>
      </c>
    </row>
    <row r="26" spans="1:11">
      <c r="A2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David Duffy</cp:lastModifiedBy>
  <dcterms:created xsi:type="dcterms:W3CDTF">2021-06-01T13:31:37Z</dcterms:created>
  <dcterms:modified xsi:type="dcterms:W3CDTF">2021-07-15T04:02:35Z</dcterms:modified>
</cp:coreProperties>
</file>